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Moje szkolenia\MSSF 16\"/>
    </mc:Choice>
  </mc:AlternateContent>
  <xr:revisionPtr revIDLastSave="0" documentId="13_ncr:1_{DFB3863D-20D3-411F-8FCD-0E42037E5FFC}" xr6:coauthVersionLast="33" xr6:coauthVersionMax="33" xr10:uidLastSave="{00000000-0000-0000-0000-000000000000}"/>
  <bookViews>
    <workbookView xWindow="0" yWindow="0" windowWidth="23040" windowHeight="10428" activeTab="3" xr2:uid="{00000000-000D-0000-FFFF-FFFF00000000}"/>
  </bookViews>
  <sheets>
    <sheet name="wycena początkowa" sheetId="1" r:id="rId1"/>
    <sheet name="rozliczanie" sheetId="2" r:id="rId2"/>
    <sheet name="aktualizacja" sheetId="3" r:id="rId3"/>
    <sheet name="zmiana" sheetId="4" r:id="rId4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4" l="1"/>
  <c r="I8" i="4" l="1"/>
  <c r="I7" i="4"/>
  <c r="I6" i="4"/>
  <c r="J6" i="4" s="1"/>
  <c r="I5" i="4"/>
  <c r="J8" i="4"/>
  <c r="D6" i="4"/>
  <c r="J7" i="4"/>
  <c r="H9" i="4"/>
  <c r="J5" i="4"/>
  <c r="N12" i="3"/>
  <c r="D15" i="3"/>
  <c r="J9" i="4" l="1"/>
  <c r="D7" i="4"/>
  <c r="E7" i="4" s="1"/>
  <c r="E6" i="4"/>
  <c r="D5" i="4"/>
  <c r="E5" i="4" s="1"/>
  <c r="E8" i="4" s="1"/>
  <c r="E8" i="1"/>
  <c r="E9" i="1"/>
  <c r="E10" i="1"/>
  <c r="E11" i="1"/>
  <c r="E12" i="1"/>
  <c r="E13" i="1"/>
  <c r="E14" i="1"/>
  <c r="E15" i="1"/>
  <c r="E7" i="1"/>
  <c r="H13" i="3" l="1"/>
  <c r="H14" i="3"/>
  <c r="H15" i="3"/>
  <c r="H16" i="3"/>
  <c r="H17" i="3"/>
  <c r="H18" i="3"/>
  <c r="H19" i="3"/>
  <c r="H20" i="3"/>
  <c r="H12" i="3"/>
  <c r="C7" i="3"/>
  <c r="C8" i="3"/>
  <c r="D8" i="3" s="1"/>
  <c r="C9" i="3"/>
  <c r="C10" i="3"/>
  <c r="C11" i="3"/>
  <c r="C12" i="3"/>
  <c r="C13" i="3"/>
  <c r="C6" i="3"/>
  <c r="D6" i="3" s="1"/>
  <c r="D11" i="3"/>
  <c r="C5" i="3"/>
  <c r="D5" i="3" s="1"/>
  <c r="H11" i="3"/>
  <c r="H10" i="3"/>
  <c r="H9" i="3"/>
  <c r="H8" i="3"/>
  <c r="H7" i="3"/>
  <c r="D13" i="3" l="1"/>
  <c r="D10" i="3"/>
  <c r="D7" i="3"/>
  <c r="D12" i="3" l="1"/>
  <c r="D9" i="3"/>
  <c r="D8" i="2"/>
  <c r="D9" i="2"/>
  <c r="D10" i="2"/>
  <c r="D11" i="2"/>
  <c r="D12" i="2"/>
  <c r="D13" i="2"/>
  <c r="D14" i="2"/>
  <c r="D15" i="2"/>
  <c r="D7" i="2"/>
  <c r="D16" i="1"/>
  <c r="F7" i="1"/>
  <c r="F8" i="1"/>
  <c r="F9" i="1"/>
  <c r="F10" i="1"/>
  <c r="F11" i="1"/>
  <c r="F12" i="1"/>
  <c r="F13" i="1"/>
  <c r="F14" i="1"/>
  <c r="F15" i="1"/>
  <c r="E6" i="1"/>
  <c r="F6" i="1" s="1"/>
  <c r="F16" i="1" l="1"/>
  <c r="G6" i="3" s="1"/>
  <c r="C6" i="2"/>
  <c r="E6" i="2" s="1"/>
  <c r="D14" i="3"/>
  <c r="H6" i="2" l="1"/>
  <c r="I12" i="2" s="1"/>
  <c r="M6" i="3"/>
  <c r="N6" i="3" s="1"/>
  <c r="P6" i="3" s="1"/>
  <c r="M7" i="3" s="1"/>
  <c r="I6" i="2"/>
  <c r="J6" i="2" s="1"/>
  <c r="H7" i="2" s="1"/>
  <c r="N9" i="3"/>
  <c r="N10" i="3"/>
  <c r="N7" i="3"/>
  <c r="I6" i="3"/>
  <c r="K6" i="3" s="1"/>
  <c r="G7" i="3" s="1"/>
  <c r="I7" i="3" s="1"/>
  <c r="K7" i="3" s="1"/>
  <c r="G8" i="3" s="1"/>
  <c r="I8" i="3" s="1"/>
  <c r="K8" i="3" s="1"/>
  <c r="G9" i="3" s="1"/>
  <c r="I9" i="3" s="1"/>
  <c r="K9" i="3" s="1"/>
  <c r="G10" i="3" s="1"/>
  <c r="I10" i="3" s="1"/>
  <c r="K10" i="3" s="1"/>
  <c r="G11" i="3" s="1"/>
  <c r="F6" i="2"/>
  <c r="C7" i="2" s="1"/>
  <c r="E7" i="2" s="1"/>
  <c r="F7" i="2" s="1"/>
  <c r="C8" i="2" s="1"/>
  <c r="E8" i="2" s="1"/>
  <c r="P7" i="3" l="1"/>
  <c r="M8" i="3" s="1"/>
  <c r="N11" i="3"/>
  <c r="I10" i="2"/>
  <c r="N8" i="3"/>
  <c r="P8" i="3" s="1"/>
  <c r="M9" i="3" s="1"/>
  <c r="P9" i="3" s="1"/>
  <c r="M10" i="3" s="1"/>
  <c r="P10" i="3" s="1"/>
  <c r="M11" i="3" s="1"/>
  <c r="I7" i="2"/>
  <c r="J7" i="2" s="1"/>
  <c r="H8" i="2" s="1"/>
  <c r="I15" i="2"/>
  <c r="I14" i="2"/>
  <c r="I13" i="2"/>
  <c r="I11" i="2"/>
  <c r="I9" i="2"/>
  <c r="I8" i="2"/>
  <c r="I11" i="3"/>
  <c r="F8" i="2"/>
  <c r="C9" i="2" s="1"/>
  <c r="J8" i="2" l="1"/>
  <c r="H9" i="2" s="1"/>
  <c r="J9" i="2" s="1"/>
  <c r="H10" i="2" s="1"/>
  <c r="J10" i="2" s="1"/>
  <c r="H11" i="2" s="1"/>
  <c r="J11" i="2" s="1"/>
  <c r="H12" i="2" s="1"/>
  <c r="J12" i="2"/>
  <c r="H13" i="2" s="1"/>
  <c r="E9" i="2"/>
  <c r="F9" i="2" s="1"/>
  <c r="J13" i="2" l="1"/>
  <c r="H14" i="2" s="1"/>
  <c r="C10" i="2"/>
  <c r="J14" i="2" l="1"/>
  <c r="H15" i="2" s="1"/>
  <c r="J15" i="2" s="1"/>
  <c r="E10" i="2"/>
  <c r="F10" i="2" l="1"/>
  <c r="C11" i="2" s="1"/>
  <c r="E11" i="2" l="1"/>
  <c r="F11" i="2" l="1"/>
  <c r="C12" i="2" l="1"/>
  <c r="E12" i="2" s="1"/>
  <c r="J11" i="3"/>
  <c r="O11" i="3" l="1"/>
  <c r="P11" i="3" s="1"/>
  <c r="M12" i="3" s="1"/>
  <c r="K11" i="3"/>
  <c r="G12" i="3" s="1"/>
  <c r="F12" i="2"/>
  <c r="C13" i="2" s="1"/>
  <c r="N16" i="3" l="1"/>
  <c r="N20" i="3"/>
  <c r="N13" i="3"/>
  <c r="N17" i="3"/>
  <c r="P12" i="3"/>
  <c r="M13" i="3" s="1"/>
  <c r="N14" i="3"/>
  <c r="N18" i="3"/>
  <c r="N15" i="3"/>
  <c r="N19" i="3"/>
  <c r="I12" i="3"/>
  <c r="K12" i="3" s="1"/>
  <c r="G13" i="3" s="1"/>
  <c r="I13" i="3" s="1"/>
  <c r="K13" i="3" s="1"/>
  <c r="G14" i="3" s="1"/>
  <c r="I14" i="3" s="1"/>
  <c r="K14" i="3" s="1"/>
  <c r="G15" i="3" s="1"/>
  <c r="I15" i="3" s="1"/>
  <c r="K15" i="3" s="1"/>
  <c r="G16" i="3" s="1"/>
  <c r="I16" i="3" s="1"/>
  <c r="K16" i="3" s="1"/>
  <c r="G17" i="3" s="1"/>
  <c r="E13" i="2"/>
  <c r="P13" i="3" l="1"/>
  <c r="M14" i="3" s="1"/>
  <c r="P14" i="3" s="1"/>
  <c r="M15" i="3" s="1"/>
  <c r="P15" i="3" s="1"/>
  <c r="M16" i="3" s="1"/>
  <c r="P16" i="3" s="1"/>
  <c r="M17" i="3" s="1"/>
  <c r="P17" i="3" s="1"/>
  <c r="M18" i="3" s="1"/>
  <c r="P18" i="3" s="1"/>
  <c r="M19" i="3" s="1"/>
  <c r="P19" i="3" s="1"/>
  <c r="M20" i="3" s="1"/>
  <c r="P20" i="3" s="1"/>
  <c r="I17" i="3"/>
  <c r="K17" i="3" s="1"/>
  <c r="G18" i="3" s="1"/>
  <c r="I18" i="3" s="1"/>
  <c r="K18" i="3" s="1"/>
  <c r="G19" i="3" s="1"/>
  <c r="I19" i="3" s="1"/>
  <c r="K19" i="3" s="1"/>
  <c r="G20" i="3" s="1"/>
  <c r="I20" i="3" s="1"/>
  <c r="K20" i="3" s="1"/>
  <c r="F13" i="2"/>
  <c r="C14" i="2" s="1"/>
  <c r="E14" i="2" l="1"/>
  <c r="F14" i="2" l="1"/>
  <c r="C15" i="2" s="1"/>
  <c r="E15" i="2" l="1"/>
  <c r="F15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Aleksandra Rytko</author>
  </authors>
  <commentList>
    <comment ref="E6" authorId="0" shapeId="0" xr:uid="{36CCF10D-D4E9-405E-9D7C-D948E5FB9124}">
      <text>
        <r>
          <rPr>
            <b/>
            <sz val="9"/>
            <color indexed="81"/>
            <rFont val="Tahoma"/>
            <charset val="1"/>
          </rPr>
          <t>Aleksandra Rytko:</t>
        </r>
        <r>
          <rPr>
            <sz val="9"/>
            <color indexed="81"/>
            <rFont val="Tahoma"/>
            <charset val="1"/>
          </rPr>
          <t xml:space="preserve">
bo płatności z góry!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Aleksandra Rytko</author>
  </authors>
  <commentList>
    <comment ref="C6" authorId="0" shapeId="0" xr:uid="{BC4F105D-8A3C-43D8-96D1-58B9D73DBEF8}">
      <text>
        <r>
          <rPr>
            <b/>
            <sz val="9"/>
            <color indexed="81"/>
            <rFont val="Tahoma"/>
            <charset val="1"/>
          </rPr>
          <t>Aleksandra Rytko:</t>
        </r>
        <r>
          <rPr>
            <sz val="9"/>
            <color indexed="81"/>
            <rFont val="Tahoma"/>
            <charset val="1"/>
          </rPr>
          <t xml:space="preserve">
Pomniejsozne o 50.000 pierwszej płatności z góry</t>
        </r>
      </text>
    </comment>
    <comment ref="H6" authorId="0" shapeId="0" xr:uid="{D6135ADB-5583-42EE-A45E-92FC42A25B27}">
      <text>
        <r>
          <rPr>
            <b/>
            <sz val="9"/>
            <color indexed="81"/>
            <rFont val="Tahoma"/>
            <charset val="1"/>
          </rPr>
          <t>Aleksandra Rytko:</t>
        </r>
        <r>
          <rPr>
            <sz val="9"/>
            <color indexed="81"/>
            <rFont val="Tahoma"/>
            <charset val="1"/>
          </rPr>
          <t xml:space="preserve">
zobowiązanie 405k plus koszty 20k minus zapłacone zachęty 5k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Aleksandra Rytko</author>
  </authors>
  <commentList>
    <comment ref="N12" authorId="0" shapeId="0" xr:uid="{9B4D159D-FA8F-4A7B-A92A-3153F0D5C7AE}">
      <text>
        <r>
          <rPr>
            <b/>
            <sz val="9"/>
            <color indexed="81"/>
            <rFont val="Tahoma"/>
            <family val="2"/>
            <charset val="238"/>
          </rPr>
          <t>Aleksandra Rytko:</t>
        </r>
        <r>
          <rPr>
            <sz val="9"/>
            <color indexed="81"/>
            <rFont val="Tahoma"/>
            <family val="2"/>
            <charset val="238"/>
          </rPr>
          <t xml:space="preserve">
zmiana - 360.168 przez 9 lat</t>
        </r>
      </text>
    </comment>
    <comment ref="D15" authorId="0" shapeId="0" xr:uid="{18F2D0E2-F11F-4AF4-A72D-45C46DD7E00F}">
      <text>
        <r>
          <rPr>
            <b/>
            <sz val="9"/>
            <color indexed="81"/>
            <rFont val="Tahoma"/>
            <family val="2"/>
            <charset val="238"/>
          </rPr>
          <t>Aleksandra Rytko:</t>
        </r>
        <r>
          <rPr>
            <sz val="9"/>
            <color indexed="81"/>
            <rFont val="Tahoma"/>
            <family val="2"/>
            <charset val="238"/>
          </rPr>
          <t xml:space="preserve">
różnica do salda zobowiązania na koniec 6-tego roku</t>
        </r>
      </text>
    </comment>
  </commentList>
</comments>
</file>

<file path=xl/sharedStrings.xml><?xml version="1.0" encoding="utf-8"?>
<sst xmlns="http://schemas.openxmlformats.org/spreadsheetml/2006/main" count="46" uniqueCount="21">
  <si>
    <t>współczynnik dyskonta</t>
  </si>
  <si>
    <t>Rok</t>
  </si>
  <si>
    <t>wartość bieżąca</t>
  </si>
  <si>
    <t>opłaty leasingowe</t>
  </si>
  <si>
    <t>SUMA</t>
  </si>
  <si>
    <t>rok</t>
  </si>
  <si>
    <t>Saldo początkowe</t>
  </si>
  <si>
    <t>Saldo końcowe</t>
  </si>
  <si>
    <t>Koszty finansowe</t>
  </si>
  <si>
    <t xml:space="preserve"> </t>
  </si>
  <si>
    <t>Zobowiązanie z tytułu leasingu</t>
  </si>
  <si>
    <t>Opłaty leasingowe</t>
  </si>
  <si>
    <t>Aktywa z tytułu prawa użytkowania składnika aktywów</t>
  </si>
  <si>
    <t>Amortyzacja</t>
  </si>
  <si>
    <t>Korekta</t>
  </si>
  <si>
    <t>współczynnik dyskonta 5%</t>
  </si>
  <si>
    <t>współczynnik dyskonta 6%</t>
  </si>
  <si>
    <t>Zadanie 9 Efka 1</t>
  </si>
  <si>
    <t>Zadanie 10 Efka 2</t>
  </si>
  <si>
    <t>ERRATA</t>
  </si>
  <si>
    <t>PIERWOTNIE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</si>
</sst>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\ _z_ł_-;\-* #,##0.00\ _z_ł_-;_-* &quot;-&quot;??\ _z_ł_-;_-@_-"/>
    <numFmt numFmtId="164" formatCode="0.0000"/>
    <numFmt numFmtId="165" formatCode="_-* #,##0\ _z_ł_-;\-* #,##0\ _z_ł_-;_-* &quot;-&quot;??\ _z_ł_-;_-@_-"/>
  </numFmts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9"/>
      <color rgb="FFFF0000"/>
      <name val="Calibri"/>
      <family val="2"/>
      <charset val="238"/>
      <scheme val="minor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sz val="11"/>
      <color theme="4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3" fillId="0" borderId="0" xfId="0" applyFont="1"/>
    <xf numFmtId="164" fontId="3" fillId="0" borderId="0" xfId="0" applyNumberFormat="1" applyFont="1"/>
    <xf numFmtId="43" fontId="4" fillId="0" borderId="0" xfId="0" applyNumberFormat="1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9" fontId="0" fillId="0" borderId="0" xfId="0" applyNumberForma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5" fontId="0" fillId="0" borderId="0" xfId="0" applyNumberFormat="1"/>
    <xf numFmtId="43" fontId="3" fillId="0" borderId="0" xfId="1" applyFont="1" applyBorder="1"/>
    <xf numFmtId="9" fontId="5" fillId="0" borderId="0" xfId="0" applyNumberFormat="1" applyFont="1"/>
    <xf numFmtId="0" fontId="6" fillId="0" borderId="0" xfId="0" applyFont="1" applyAlignment="1">
      <alignment horizontal="center" vertical="center" wrapText="1"/>
    </xf>
    <xf numFmtId="165" fontId="5" fillId="0" borderId="0" xfId="0" applyNumberFormat="1" applyFont="1"/>
    <xf numFmtId="0" fontId="5" fillId="0" borderId="0" xfId="0" applyFont="1"/>
    <xf numFmtId="165" fontId="3" fillId="0" borderId="0" xfId="1" applyNumberFormat="1" applyFont="1"/>
    <xf numFmtId="165" fontId="4" fillId="0" borderId="2" xfId="1" applyNumberFormat="1" applyFont="1" applyBorder="1"/>
    <xf numFmtId="165" fontId="4" fillId="0" borderId="0" xfId="0" applyNumberFormat="1" applyFont="1"/>
    <xf numFmtId="165" fontId="3" fillId="0" borderId="1" xfId="1" applyNumberFormat="1" applyFont="1" applyBorder="1"/>
    <xf numFmtId="9" fontId="3" fillId="0" borderId="0" xfId="0" applyNumberFormat="1" applyFont="1"/>
    <xf numFmtId="0" fontId="0" fillId="0" borderId="0" xfId="0" applyAlignment="1">
      <alignment horizontal="center"/>
    </xf>
    <xf numFmtId="9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43" fontId="4" fillId="0" borderId="0" xfId="0" applyNumberFormat="1" applyFont="1" applyAlignment="1">
      <alignment horizontal="center"/>
    </xf>
    <xf numFmtId="0" fontId="6" fillId="0" borderId="0" xfId="0" applyFont="1"/>
    <xf numFmtId="165" fontId="9" fillId="0" borderId="0" xfId="0" applyNumberFormat="1" applyFont="1"/>
    <xf numFmtId="0" fontId="2" fillId="2" borderId="0" xfId="0" applyFont="1" applyFill="1" applyAlignment="1">
      <alignment horizontal="center"/>
    </xf>
    <xf numFmtId="0" fontId="12" fillId="0" borderId="0" xfId="0" applyFont="1"/>
  </cellXfs>
  <cellStyles count="2">
    <cellStyle name="Dziesiętny" xfId="1" builtinId="3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4:F16"/>
  <sheetViews>
    <sheetView zoomScale="140" zoomScaleNormal="140" workbookViewId="0">
      <selection activeCell="D22" sqref="D22"/>
    </sheetView>
  </sheetViews>
  <sheetFormatPr defaultRowHeight="12" x14ac:dyDescent="0.25"/>
  <cols>
    <col min="1" max="2" width="8.88671875" style="1"/>
    <col min="3" max="3" width="5.109375" style="1" bestFit="1" customWidth="1"/>
    <col min="4" max="4" width="10.88671875" style="1" bestFit="1" customWidth="1"/>
    <col min="5" max="5" width="10" style="1" bestFit="1" customWidth="1"/>
    <col min="6" max="6" width="11" style="1" bestFit="1" customWidth="1"/>
    <col min="7" max="16384" width="8.88671875" style="1"/>
  </cols>
  <sheetData>
    <row r="4" spans="3:6" x14ac:dyDescent="0.25">
      <c r="E4" s="20">
        <v>0.05</v>
      </c>
    </row>
    <row r="5" spans="3:6" ht="24" x14ac:dyDescent="0.25">
      <c r="C5" s="6" t="s">
        <v>5</v>
      </c>
      <c r="D5" s="5" t="s">
        <v>3</v>
      </c>
      <c r="E5" s="5" t="s">
        <v>15</v>
      </c>
      <c r="F5" s="5" t="s">
        <v>2</v>
      </c>
    </row>
    <row r="6" spans="3:6" x14ac:dyDescent="0.25">
      <c r="C6" s="1">
        <v>1</v>
      </c>
      <c r="D6" s="16">
        <v>50000</v>
      </c>
      <c r="E6" s="2">
        <f>1</f>
        <v>1</v>
      </c>
      <c r="F6" s="16">
        <f>D6*E6</f>
        <v>50000</v>
      </c>
    </row>
    <row r="7" spans="3:6" x14ac:dyDescent="0.25">
      <c r="C7" s="1">
        <v>2</v>
      </c>
      <c r="D7" s="16">
        <v>50000</v>
      </c>
      <c r="E7" s="2">
        <f>1/(1+$E$4)^C6</f>
        <v>0.95238095238095233</v>
      </c>
      <c r="F7" s="16">
        <f t="shared" ref="F7:F15" si="0">D7*E7</f>
        <v>47619.047619047618</v>
      </c>
    </row>
    <row r="8" spans="3:6" x14ac:dyDescent="0.25">
      <c r="C8" s="1">
        <v>3</v>
      </c>
      <c r="D8" s="16">
        <v>50000</v>
      </c>
      <c r="E8" s="2">
        <f t="shared" ref="E8:E15" si="1">1/(1+$E$4)^C7</f>
        <v>0.90702947845804982</v>
      </c>
      <c r="F8" s="16">
        <f t="shared" si="0"/>
        <v>45351.473922902493</v>
      </c>
    </row>
    <row r="9" spans="3:6" x14ac:dyDescent="0.25">
      <c r="C9" s="1">
        <v>4</v>
      </c>
      <c r="D9" s="16">
        <v>50000</v>
      </c>
      <c r="E9" s="2">
        <f t="shared" si="1"/>
        <v>0.86383759853147601</v>
      </c>
      <c r="F9" s="16">
        <f t="shared" si="0"/>
        <v>43191.879926573798</v>
      </c>
    </row>
    <row r="10" spans="3:6" x14ac:dyDescent="0.25">
      <c r="C10" s="1">
        <v>5</v>
      </c>
      <c r="D10" s="16">
        <v>50000</v>
      </c>
      <c r="E10" s="2">
        <f t="shared" si="1"/>
        <v>0.82270247479188197</v>
      </c>
      <c r="F10" s="16">
        <f t="shared" si="0"/>
        <v>41135.123739594099</v>
      </c>
    </row>
    <row r="11" spans="3:6" x14ac:dyDescent="0.25">
      <c r="C11" s="1">
        <v>6</v>
      </c>
      <c r="D11" s="16">
        <v>50000</v>
      </c>
      <c r="E11" s="2">
        <f t="shared" si="1"/>
        <v>0.78352616646845896</v>
      </c>
      <c r="F11" s="16">
        <f t="shared" si="0"/>
        <v>39176.308323422949</v>
      </c>
    </row>
    <row r="12" spans="3:6" x14ac:dyDescent="0.25">
      <c r="C12" s="1">
        <v>7</v>
      </c>
      <c r="D12" s="16">
        <v>50000</v>
      </c>
      <c r="E12" s="2">
        <f t="shared" si="1"/>
        <v>0.74621539663662761</v>
      </c>
      <c r="F12" s="16">
        <f t="shared" si="0"/>
        <v>37310.769831831378</v>
      </c>
    </row>
    <row r="13" spans="3:6" x14ac:dyDescent="0.25">
      <c r="C13" s="1">
        <v>8</v>
      </c>
      <c r="D13" s="16">
        <v>50000</v>
      </c>
      <c r="E13" s="2">
        <f t="shared" si="1"/>
        <v>0.71068133013012147</v>
      </c>
      <c r="F13" s="16">
        <f t="shared" si="0"/>
        <v>35534.066506506075</v>
      </c>
    </row>
    <row r="14" spans="3:6" x14ac:dyDescent="0.25">
      <c r="C14" s="1">
        <v>9</v>
      </c>
      <c r="D14" s="16">
        <v>50000</v>
      </c>
      <c r="E14" s="2">
        <f t="shared" si="1"/>
        <v>0.67683936202868722</v>
      </c>
      <c r="F14" s="16">
        <f t="shared" si="0"/>
        <v>33841.968101434359</v>
      </c>
    </row>
    <row r="15" spans="3:6" x14ac:dyDescent="0.25">
      <c r="C15" s="1">
        <v>10</v>
      </c>
      <c r="D15" s="19">
        <v>50000</v>
      </c>
      <c r="E15" s="2">
        <f t="shared" si="1"/>
        <v>0.64460891621779726</v>
      </c>
      <c r="F15" s="19">
        <f t="shared" si="0"/>
        <v>32230.445810889862</v>
      </c>
    </row>
    <row r="16" spans="3:6" x14ac:dyDescent="0.25">
      <c r="C16" s="4" t="s">
        <v>4</v>
      </c>
      <c r="D16" s="18">
        <f>SUM(D6:D15)</f>
        <v>500000</v>
      </c>
      <c r="E16" s="3"/>
      <c r="F16" s="18">
        <f t="shared" ref="F16" si="2">SUM(F6:F15)</f>
        <v>405391.08378220268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5"/>
  <sheetViews>
    <sheetView workbookViewId="0">
      <selection activeCell="F11" sqref="F11"/>
    </sheetView>
  </sheetViews>
  <sheetFormatPr defaultRowHeight="14.4" x14ac:dyDescent="0.3"/>
  <cols>
    <col min="2" max="2" width="4.21875" bestFit="1" customWidth="1"/>
    <col min="3" max="3" width="12.88671875" bestFit="1" customWidth="1"/>
    <col min="4" max="5" width="11.88671875" bestFit="1" customWidth="1"/>
    <col min="6" max="6" width="13.33203125" bestFit="1" customWidth="1"/>
    <col min="7" max="7" width="3.21875" customWidth="1"/>
    <col min="8" max="8" width="18.109375" customWidth="1"/>
    <col min="9" max="9" width="15.44140625" customWidth="1"/>
    <col min="10" max="10" width="15" customWidth="1"/>
  </cols>
  <sheetData>
    <row r="1" spans="1:10" x14ac:dyDescent="0.3">
      <c r="A1" s="25" t="s">
        <v>17</v>
      </c>
    </row>
    <row r="3" spans="1:10" x14ac:dyDescent="0.3">
      <c r="A3" t="s">
        <v>9</v>
      </c>
      <c r="E3" s="7">
        <v>0.05</v>
      </c>
    </row>
    <row r="4" spans="1:10" x14ac:dyDescent="0.3">
      <c r="B4" s="27" t="s">
        <v>10</v>
      </c>
      <c r="C4" s="27"/>
      <c r="D4" s="27"/>
      <c r="E4" s="27"/>
      <c r="F4" s="27"/>
      <c r="H4" s="27" t="s">
        <v>12</v>
      </c>
      <c r="I4" s="27"/>
      <c r="J4" s="27"/>
    </row>
    <row r="5" spans="1:10" ht="28.8" x14ac:dyDescent="0.3">
      <c r="B5" s="9" t="s">
        <v>1</v>
      </c>
      <c r="C5" s="8" t="s">
        <v>6</v>
      </c>
      <c r="D5" s="8" t="s">
        <v>11</v>
      </c>
      <c r="E5" s="8" t="s">
        <v>8</v>
      </c>
      <c r="F5" s="8" t="s">
        <v>7</v>
      </c>
      <c r="G5" s="8"/>
      <c r="H5" s="8" t="s">
        <v>6</v>
      </c>
      <c r="I5" s="8" t="s">
        <v>13</v>
      </c>
      <c r="J5" s="8" t="s">
        <v>7</v>
      </c>
    </row>
    <row r="6" spans="1:10" x14ac:dyDescent="0.3">
      <c r="B6">
        <v>1</v>
      </c>
      <c r="C6" s="10">
        <f>'wycena początkowa'!F16-50000</f>
        <v>355391.08378220268</v>
      </c>
      <c r="D6" s="10">
        <v>0</v>
      </c>
      <c r="E6" s="10">
        <f>(C6+D6)*$E$3</f>
        <v>17769.554189110135</v>
      </c>
      <c r="F6" s="10">
        <f t="shared" ref="F6:F15" si="0">C6+D6+E6</f>
        <v>373160.6379713128</v>
      </c>
      <c r="G6" s="10"/>
      <c r="H6" s="10">
        <f>'wycena początkowa'!F16+20000-5000</f>
        <v>420391.08378220268</v>
      </c>
      <c r="I6" s="10">
        <f>$H$6/10</f>
        <v>42039.10837822027</v>
      </c>
      <c r="J6" s="10">
        <f>H6-I6</f>
        <v>378351.97540398239</v>
      </c>
    </row>
    <row r="7" spans="1:10" x14ac:dyDescent="0.3">
      <c r="B7">
        <v>2</v>
      </c>
      <c r="C7" s="10">
        <f>F6</f>
        <v>373160.6379713128</v>
      </c>
      <c r="D7" s="10">
        <f>-'wycena początkowa'!D7</f>
        <v>-50000</v>
      </c>
      <c r="E7" s="10">
        <f t="shared" ref="E7:E15" si="1">(C7+D7)*$E$3</f>
        <v>16158.031898565641</v>
      </c>
      <c r="F7" s="10">
        <f t="shared" si="0"/>
        <v>339318.66986987845</v>
      </c>
      <c r="G7" s="10"/>
      <c r="H7" s="10">
        <f>J6</f>
        <v>378351.97540398239</v>
      </c>
      <c r="I7" s="10">
        <f t="shared" ref="I7:I15" si="2">$H$6/10</f>
        <v>42039.10837822027</v>
      </c>
      <c r="J7" s="10">
        <f t="shared" ref="J7:J15" si="3">H7-I7</f>
        <v>336312.8670257621</v>
      </c>
    </row>
    <row r="8" spans="1:10" x14ac:dyDescent="0.3">
      <c r="B8">
        <v>3</v>
      </c>
      <c r="C8" s="10">
        <f t="shared" ref="C8:C15" si="4">F7</f>
        <v>339318.66986987845</v>
      </c>
      <c r="D8" s="10">
        <f>-'wycena początkowa'!D8</f>
        <v>-50000</v>
      </c>
      <c r="E8" s="10">
        <f t="shared" si="1"/>
        <v>14465.933493493923</v>
      </c>
      <c r="F8" s="10">
        <f t="shared" si="0"/>
        <v>303784.60336337239</v>
      </c>
      <c r="G8" s="10"/>
      <c r="H8" s="10">
        <f t="shared" ref="H8:H15" si="5">J7</f>
        <v>336312.8670257621</v>
      </c>
      <c r="I8" s="10">
        <f t="shared" si="2"/>
        <v>42039.10837822027</v>
      </c>
      <c r="J8" s="10">
        <f t="shared" si="3"/>
        <v>294273.75864754181</v>
      </c>
    </row>
    <row r="9" spans="1:10" x14ac:dyDescent="0.3">
      <c r="B9">
        <v>4</v>
      </c>
      <c r="C9" s="10">
        <f t="shared" si="4"/>
        <v>303784.60336337239</v>
      </c>
      <c r="D9" s="10">
        <f>-'wycena początkowa'!D9</f>
        <v>-50000</v>
      </c>
      <c r="E9" s="10">
        <f t="shared" si="1"/>
        <v>12689.23016816862</v>
      </c>
      <c r="F9" s="10">
        <f t="shared" si="0"/>
        <v>266473.83353154099</v>
      </c>
      <c r="G9" s="10"/>
      <c r="H9" s="10">
        <f t="shared" si="5"/>
        <v>294273.75864754181</v>
      </c>
      <c r="I9" s="10">
        <f t="shared" si="2"/>
        <v>42039.10837822027</v>
      </c>
      <c r="J9" s="10">
        <f t="shared" si="3"/>
        <v>252234.65026932154</v>
      </c>
    </row>
    <row r="10" spans="1:10" x14ac:dyDescent="0.3">
      <c r="B10">
        <v>5</v>
      </c>
      <c r="C10" s="10">
        <f t="shared" si="4"/>
        <v>266473.83353154099</v>
      </c>
      <c r="D10" s="10">
        <f>-'wycena początkowa'!D10</f>
        <v>-50000</v>
      </c>
      <c r="E10" s="10">
        <f t="shared" si="1"/>
        <v>10823.691676577051</v>
      </c>
      <c r="F10" s="10">
        <f t="shared" si="0"/>
        <v>227297.52520811805</v>
      </c>
      <c r="G10" s="10"/>
      <c r="H10" s="10">
        <f t="shared" si="5"/>
        <v>252234.65026932154</v>
      </c>
      <c r="I10" s="10">
        <f t="shared" si="2"/>
        <v>42039.10837822027</v>
      </c>
      <c r="J10" s="10">
        <f t="shared" si="3"/>
        <v>210195.54189110128</v>
      </c>
    </row>
    <row r="11" spans="1:10" x14ac:dyDescent="0.3">
      <c r="B11">
        <v>6</v>
      </c>
      <c r="C11" s="10">
        <f t="shared" si="4"/>
        <v>227297.52520811805</v>
      </c>
      <c r="D11" s="10">
        <f>-'wycena początkowa'!D11</f>
        <v>-50000</v>
      </c>
      <c r="E11" s="10">
        <f t="shared" si="1"/>
        <v>8864.8762604059029</v>
      </c>
      <c r="F11" s="10">
        <f t="shared" si="0"/>
        <v>186162.40146852395</v>
      </c>
      <c r="G11" s="10"/>
      <c r="H11" s="10">
        <f t="shared" si="5"/>
        <v>210195.54189110128</v>
      </c>
      <c r="I11" s="10">
        <f t="shared" si="2"/>
        <v>42039.10837822027</v>
      </c>
      <c r="J11" s="10">
        <f t="shared" si="3"/>
        <v>168156.43351288102</v>
      </c>
    </row>
    <row r="12" spans="1:10" x14ac:dyDescent="0.3">
      <c r="B12">
        <v>7</v>
      </c>
      <c r="C12" s="10">
        <f t="shared" si="4"/>
        <v>186162.40146852395</v>
      </c>
      <c r="D12" s="10">
        <f>-'wycena początkowa'!D12</f>
        <v>-50000</v>
      </c>
      <c r="E12" s="10">
        <f t="shared" si="1"/>
        <v>6808.1200734261984</v>
      </c>
      <c r="F12" s="10">
        <f t="shared" si="0"/>
        <v>142970.52154195015</v>
      </c>
      <c r="G12" s="10"/>
      <c r="H12" s="10">
        <f t="shared" si="5"/>
        <v>168156.43351288102</v>
      </c>
      <c r="I12" s="10">
        <f t="shared" si="2"/>
        <v>42039.10837822027</v>
      </c>
      <c r="J12" s="10">
        <f t="shared" si="3"/>
        <v>126117.32513466076</v>
      </c>
    </row>
    <row r="13" spans="1:10" x14ac:dyDescent="0.3">
      <c r="B13">
        <v>8</v>
      </c>
      <c r="C13" s="10">
        <f t="shared" si="4"/>
        <v>142970.52154195015</v>
      </c>
      <c r="D13" s="10">
        <f>-'wycena początkowa'!D13</f>
        <v>-50000</v>
      </c>
      <c r="E13" s="10">
        <f t="shared" si="1"/>
        <v>4648.5260770975074</v>
      </c>
      <c r="F13" s="10">
        <f t="shared" si="0"/>
        <v>97619.047619047662</v>
      </c>
      <c r="G13" s="10"/>
      <c r="H13" s="10">
        <f t="shared" si="5"/>
        <v>126117.32513466076</v>
      </c>
      <c r="I13" s="10">
        <f t="shared" si="2"/>
        <v>42039.10837822027</v>
      </c>
      <c r="J13" s="10">
        <f t="shared" si="3"/>
        <v>84078.216756440495</v>
      </c>
    </row>
    <row r="14" spans="1:10" x14ac:dyDescent="0.3">
      <c r="B14">
        <v>9</v>
      </c>
      <c r="C14" s="10">
        <f t="shared" si="4"/>
        <v>97619.047619047662</v>
      </c>
      <c r="D14" s="10">
        <f>-'wycena początkowa'!D14</f>
        <v>-50000</v>
      </c>
      <c r="E14" s="10">
        <f t="shared" si="1"/>
        <v>2380.952380952383</v>
      </c>
      <c r="F14" s="10">
        <f t="shared" si="0"/>
        <v>50000.000000000044</v>
      </c>
      <c r="G14" s="10"/>
      <c r="H14" s="10">
        <f t="shared" si="5"/>
        <v>84078.216756440495</v>
      </c>
      <c r="I14" s="10">
        <f t="shared" si="2"/>
        <v>42039.10837822027</v>
      </c>
      <c r="J14" s="10">
        <f t="shared" si="3"/>
        <v>42039.108378220226</v>
      </c>
    </row>
    <row r="15" spans="1:10" x14ac:dyDescent="0.3">
      <c r="B15">
        <v>10</v>
      </c>
      <c r="C15" s="10">
        <f t="shared" si="4"/>
        <v>50000.000000000044</v>
      </c>
      <c r="D15" s="10">
        <f>-'wycena początkowa'!D15</f>
        <v>-50000</v>
      </c>
      <c r="E15" s="10">
        <f t="shared" si="1"/>
        <v>2.1827872842550281E-12</v>
      </c>
      <c r="F15" s="10">
        <f t="shared" si="0"/>
        <v>4.5838532969355582E-11</v>
      </c>
      <c r="G15" s="10"/>
      <c r="H15" s="10">
        <f t="shared" si="5"/>
        <v>42039.108378220226</v>
      </c>
      <c r="I15" s="10">
        <f t="shared" si="2"/>
        <v>42039.10837822027</v>
      </c>
      <c r="J15" s="10">
        <f t="shared" si="3"/>
        <v>0</v>
      </c>
    </row>
  </sheetData>
  <mergeCells count="2">
    <mergeCell ref="B4:F4"/>
    <mergeCell ref="H4:J4"/>
  </mergeCells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20"/>
  <sheetViews>
    <sheetView workbookViewId="0">
      <selection activeCell="R15" sqref="R15"/>
    </sheetView>
  </sheetViews>
  <sheetFormatPr defaultRowHeight="14.4" x14ac:dyDescent="0.3"/>
  <cols>
    <col min="1" max="1" width="3" bestFit="1" customWidth="1"/>
    <col min="2" max="2" width="9.5546875" bestFit="1" customWidth="1"/>
    <col min="3" max="3" width="11.109375" customWidth="1"/>
    <col min="4" max="4" width="10.33203125" bestFit="1" customWidth="1"/>
    <col min="6" max="6" width="4.21875" bestFit="1" customWidth="1"/>
    <col min="7" max="7" width="11.109375" bestFit="1" customWidth="1"/>
    <col min="8" max="8" width="10.33203125" bestFit="1" customWidth="1"/>
    <col min="9" max="9" width="9.6640625" bestFit="1" customWidth="1"/>
    <col min="10" max="10" width="10.44140625" style="15" bestFit="1" customWidth="1"/>
    <col min="11" max="11" width="10.44140625" bestFit="1" customWidth="1"/>
    <col min="12" max="12" width="3.77734375" customWidth="1"/>
    <col min="13" max="13" width="11.109375" bestFit="1" customWidth="1"/>
    <col min="14" max="14" width="11.5546875" bestFit="1" customWidth="1"/>
    <col min="15" max="15" width="10.44140625" style="15" bestFit="1" customWidth="1"/>
    <col min="16" max="16" width="13.88671875" bestFit="1" customWidth="1"/>
  </cols>
  <sheetData>
    <row r="1" spans="1:16" x14ac:dyDescent="0.3">
      <c r="A1" s="25" t="s">
        <v>18</v>
      </c>
    </row>
    <row r="2" spans="1:16" x14ac:dyDescent="0.3">
      <c r="I2" s="7">
        <v>0.06</v>
      </c>
    </row>
    <row r="3" spans="1:16" x14ac:dyDescent="0.3">
      <c r="C3" s="7">
        <v>0.06</v>
      </c>
      <c r="I3" s="7">
        <v>0.05</v>
      </c>
      <c r="J3" s="12"/>
    </row>
    <row r="4" spans="1:16" ht="24" x14ac:dyDescent="0.3">
      <c r="A4" s="6" t="s">
        <v>5</v>
      </c>
      <c r="B4" s="5" t="s">
        <v>3</v>
      </c>
      <c r="C4" s="5" t="s">
        <v>0</v>
      </c>
      <c r="D4" s="5" t="s">
        <v>2</v>
      </c>
      <c r="F4" s="27" t="s">
        <v>10</v>
      </c>
      <c r="G4" s="27"/>
      <c r="H4" s="27"/>
      <c r="I4" s="27"/>
      <c r="J4" s="27"/>
      <c r="K4" s="27"/>
      <c r="M4" s="27" t="s">
        <v>12</v>
      </c>
      <c r="N4" s="27"/>
      <c r="O4" s="27"/>
      <c r="P4" s="27"/>
    </row>
    <row r="5" spans="1:16" ht="28.8" x14ac:dyDescent="0.3">
      <c r="A5" s="1">
        <v>7</v>
      </c>
      <c r="B5" s="16">
        <v>50000</v>
      </c>
      <c r="C5" s="2">
        <f>1</f>
        <v>1</v>
      </c>
      <c r="D5" s="16">
        <f>B5*C5</f>
        <v>50000</v>
      </c>
      <c r="F5" s="9" t="s">
        <v>1</v>
      </c>
      <c r="G5" s="8" t="s">
        <v>6</v>
      </c>
      <c r="H5" s="8" t="s">
        <v>11</v>
      </c>
      <c r="I5" s="8" t="s">
        <v>8</v>
      </c>
      <c r="J5" s="13" t="s">
        <v>14</v>
      </c>
      <c r="K5" s="8" t="s">
        <v>7</v>
      </c>
      <c r="L5" s="8"/>
      <c r="M5" s="8" t="s">
        <v>6</v>
      </c>
      <c r="N5" s="8" t="s">
        <v>13</v>
      </c>
      <c r="O5" s="13" t="s">
        <v>14</v>
      </c>
      <c r="P5" s="8" t="s">
        <v>7</v>
      </c>
    </row>
    <row r="6" spans="1:16" x14ac:dyDescent="0.3">
      <c r="A6" s="1">
        <v>8</v>
      </c>
      <c r="B6" s="16">
        <v>50000</v>
      </c>
      <c r="C6" s="2">
        <f>1/(1+$C$3)^(A5-6)</f>
        <v>0.94339622641509424</v>
      </c>
      <c r="D6" s="16">
        <f t="shared" ref="D6:D13" si="0">B6*C6</f>
        <v>47169.811320754714</v>
      </c>
      <c r="F6">
        <v>1</v>
      </c>
      <c r="G6" s="10">
        <f>'wycena początkowa'!F16-50000</f>
        <v>355391.08378220268</v>
      </c>
      <c r="H6" s="10">
        <v>0</v>
      </c>
      <c r="I6" s="10">
        <f t="shared" ref="I6:I11" si="1">(G6+H6)*$I$3</f>
        <v>17769.554189110135</v>
      </c>
      <c r="J6" s="14"/>
      <c r="K6" s="10">
        <f>G6+H6+I6</f>
        <v>373160.6379713128</v>
      </c>
      <c r="L6" s="10"/>
      <c r="M6" s="10">
        <f>'wycena początkowa'!F16+20000-5000</f>
        <v>420391.08378220268</v>
      </c>
      <c r="N6" s="10">
        <f t="shared" ref="N6:N11" si="2">$M$6/10</f>
        <v>42039.10837822027</v>
      </c>
      <c r="O6" s="14"/>
      <c r="P6" s="10">
        <f>M6-N6</f>
        <v>378351.97540398239</v>
      </c>
    </row>
    <row r="7" spans="1:16" x14ac:dyDescent="0.3">
      <c r="A7" s="1">
        <v>9</v>
      </c>
      <c r="B7" s="16">
        <v>50000</v>
      </c>
      <c r="C7" s="2">
        <f t="shared" ref="C7:C13" si="3">1/(1+$C$3)^(A6-6)</f>
        <v>0.88999644001423983</v>
      </c>
      <c r="D7" s="16">
        <f t="shared" si="0"/>
        <v>44499.822000711989</v>
      </c>
      <c r="F7">
        <v>2</v>
      </c>
      <c r="G7" s="10">
        <f t="shared" ref="G7:G12" si="4">K6</f>
        <v>373160.6379713128</v>
      </c>
      <c r="H7" s="10">
        <f>-'wycena początkowa'!D7</f>
        <v>-50000</v>
      </c>
      <c r="I7" s="10">
        <f t="shared" si="1"/>
        <v>16158.031898565641</v>
      </c>
      <c r="J7" s="14"/>
      <c r="K7" s="10">
        <f>G7+H7+I7</f>
        <v>339318.66986987845</v>
      </c>
      <c r="L7" s="10"/>
      <c r="M7" s="10">
        <f t="shared" ref="M7:M12" si="5">P6</f>
        <v>378351.97540398239</v>
      </c>
      <c r="N7" s="10">
        <f t="shared" si="2"/>
        <v>42039.10837822027</v>
      </c>
      <c r="O7" s="14"/>
      <c r="P7" s="10">
        <f>M7-N7</f>
        <v>336312.8670257621</v>
      </c>
    </row>
    <row r="8" spans="1:16" x14ac:dyDescent="0.3">
      <c r="A8" s="1">
        <v>10</v>
      </c>
      <c r="B8" s="16">
        <v>50000</v>
      </c>
      <c r="C8" s="2">
        <f t="shared" si="3"/>
        <v>0.8396192830323016</v>
      </c>
      <c r="D8" s="16">
        <f t="shared" si="0"/>
        <v>41980.96415161508</v>
      </c>
      <c r="F8">
        <v>3</v>
      </c>
      <c r="G8" s="10">
        <f t="shared" si="4"/>
        <v>339318.66986987845</v>
      </c>
      <c r="H8" s="10">
        <f>-'wycena początkowa'!D8</f>
        <v>-50000</v>
      </c>
      <c r="I8" s="10">
        <f t="shared" si="1"/>
        <v>14465.933493493923</v>
      </c>
      <c r="J8" s="14"/>
      <c r="K8" s="10">
        <f>G8+H8+I8</f>
        <v>303784.60336337239</v>
      </c>
      <c r="L8" s="10"/>
      <c r="M8" s="10">
        <f t="shared" si="5"/>
        <v>336312.8670257621</v>
      </c>
      <c r="N8" s="10">
        <f t="shared" si="2"/>
        <v>42039.10837822027</v>
      </c>
      <c r="O8" s="14"/>
      <c r="P8" s="10">
        <f>M8-N8</f>
        <v>294273.75864754181</v>
      </c>
    </row>
    <row r="9" spans="1:16" x14ac:dyDescent="0.3">
      <c r="A9" s="1">
        <v>11</v>
      </c>
      <c r="B9" s="16">
        <v>55000</v>
      </c>
      <c r="C9" s="2">
        <f t="shared" si="3"/>
        <v>0.79209366323802044</v>
      </c>
      <c r="D9" s="16">
        <f t="shared" si="0"/>
        <v>43565.151478091124</v>
      </c>
      <c r="F9">
        <v>4</v>
      </c>
      <c r="G9" s="10">
        <f t="shared" si="4"/>
        <v>303784.60336337239</v>
      </c>
      <c r="H9" s="10">
        <f>-'wycena początkowa'!D9</f>
        <v>-50000</v>
      </c>
      <c r="I9" s="10">
        <f t="shared" si="1"/>
        <v>12689.23016816862</v>
      </c>
      <c r="J9" s="14"/>
      <c r="K9" s="10">
        <f>G9+H9+I9</f>
        <v>266473.83353154099</v>
      </c>
      <c r="L9" s="10"/>
      <c r="M9" s="10">
        <f t="shared" si="5"/>
        <v>294273.75864754181</v>
      </c>
      <c r="N9" s="10">
        <f t="shared" si="2"/>
        <v>42039.10837822027</v>
      </c>
      <c r="O9" s="14"/>
      <c r="P9" s="10">
        <f>M9-N9</f>
        <v>252234.65026932154</v>
      </c>
    </row>
    <row r="10" spans="1:16" x14ac:dyDescent="0.3">
      <c r="A10" s="1">
        <v>12</v>
      </c>
      <c r="B10" s="16">
        <v>55000</v>
      </c>
      <c r="C10" s="2">
        <f t="shared" si="3"/>
        <v>0.74725817286605689</v>
      </c>
      <c r="D10" s="16">
        <f t="shared" si="0"/>
        <v>41099.19950763313</v>
      </c>
      <c r="F10">
        <v>5</v>
      </c>
      <c r="G10" s="10">
        <f t="shared" si="4"/>
        <v>266473.83353154099</v>
      </c>
      <c r="H10" s="10">
        <f>-'wycena początkowa'!D10</f>
        <v>-50000</v>
      </c>
      <c r="I10" s="10">
        <f t="shared" si="1"/>
        <v>10823.691676577051</v>
      </c>
      <c r="J10" s="14"/>
      <c r="K10" s="10">
        <f>G10+H10+I10</f>
        <v>227297.52520811805</v>
      </c>
      <c r="L10" s="10"/>
      <c r="M10" s="10">
        <f t="shared" si="5"/>
        <v>252234.65026932154</v>
      </c>
      <c r="N10" s="10">
        <f t="shared" si="2"/>
        <v>42039.10837822027</v>
      </c>
      <c r="O10" s="14"/>
      <c r="P10" s="10">
        <f>M10-N10</f>
        <v>210195.54189110128</v>
      </c>
    </row>
    <row r="11" spans="1:16" x14ac:dyDescent="0.3">
      <c r="A11" s="1">
        <v>13</v>
      </c>
      <c r="B11" s="16">
        <v>55000</v>
      </c>
      <c r="C11" s="2">
        <f t="shared" si="3"/>
        <v>0.70496054043967626</v>
      </c>
      <c r="D11" s="16">
        <f t="shared" si="0"/>
        <v>38772.829724182193</v>
      </c>
      <c r="F11">
        <v>6</v>
      </c>
      <c r="G11" s="10">
        <f t="shared" si="4"/>
        <v>227297.52520811805</v>
      </c>
      <c r="H11" s="10">
        <f>-'wycena początkowa'!D11</f>
        <v>-50000</v>
      </c>
      <c r="I11" s="10">
        <f t="shared" si="1"/>
        <v>8864.8762604059029</v>
      </c>
      <c r="J11" s="14">
        <f>D15</f>
        <v>192011.1983874932</v>
      </c>
      <c r="K11" s="10">
        <f>G11+H11+I11+J11</f>
        <v>378173.59985601716</v>
      </c>
      <c r="L11" s="10"/>
      <c r="M11" s="10">
        <f t="shared" si="5"/>
        <v>210195.54189110128</v>
      </c>
      <c r="N11" s="10">
        <f t="shared" si="2"/>
        <v>42039.10837822027</v>
      </c>
      <c r="O11" s="14">
        <f>J11</f>
        <v>192011.1983874932</v>
      </c>
      <c r="P11" s="10">
        <f>M11-N11+O11</f>
        <v>360167.6319003742</v>
      </c>
    </row>
    <row r="12" spans="1:16" x14ac:dyDescent="0.3">
      <c r="A12" s="1">
        <v>14</v>
      </c>
      <c r="B12" s="16">
        <v>55000</v>
      </c>
      <c r="C12" s="2">
        <f t="shared" si="3"/>
        <v>0.66505711362233599</v>
      </c>
      <c r="D12" s="16">
        <f t="shared" si="0"/>
        <v>36578.14124922848</v>
      </c>
      <c r="F12">
        <v>7</v>
      </c>
      <c r="G12" s="10">
        <f t="shared" si="4"/>
        <v>378173.59985601716</v>
      </c>
      <c r="H12" s="10">
        <f>-B5</f>
        <v>-50000</v>
      </c>
      <c r="I12" s="10">
        <f>(G12+H12)*$I$2</f>
        <v>19690.415991361027</v>
      </c>
      <c r="J12" s="14"/>
      <c r="K12" s="10">
        <f t="shared" ref="K12:K20" si="6">G12+H12+I12+J12</f>
        <v>347864.01584737818</v>
      </c>
      <c r="L12" s="10"/>
      <c r="M12" s="10">
        <f t="shared" si="5"/>
        <v>360167.6319003742</v>
      </c>
      <c r="N12" s="10">
        <f>$M$12/9</f>
        <v>40018.625766708246</v>
      </c>
      <c r="O12" s="14"/>
      <c r="P12" s="10">
        <f t="shared" ref="P12:P20" si="7">M12-N12+O12</f>
        <v>320149.00613366597</v>
      </c>
    </row>
    <row r="13" spans="1:16" x14ac:dyDescent="0.3">
      <c r="A13" s="1">
        <v>15</v>
      </c>
      <c r="B13" s="16">
        <v>55000</v>
      </c>
      <c r="C13" s="2">
        <f t="shared" si="3"/>
        <v>0.62741237134182648</v>
      </c>
      <c r="D13" s="16">
        <f t="shared" si="0"/>
        <v>34507.680423800455</v>
      </c>
      <c r="F13">
        <v>8</v>
      </c>
      <c r="G13" s="10">
        <f t="shared" ref="G13:G20" si="8">K12</f>
        <v>347864.01584737818</v>
      </c>
      <c r="H13" s="10">
        <f t="shared" ref="H13:H20" si="9">-B6</f>
        <v>-50000</v>
      </c>
      <c r="I13" s="10">
        <f t="shared" ref="I13:I20" si="10">(G13+H13)*$I$2</f>
        <v>17871.840950842688</v>
      </c>
      <c r="J13" s="14"/>
      <c r="K13" s="10">
        <f t="shared" si="6"/>
        <v>315735.85679822089</v>
      </c>
      <c r="L13" s="10"/>
      <c r="M13" s="10">
        <f t="shared" ref="M13:M20" si="11">P12</f>
        <v>320149.00613366597</v>
      </c>
      <c r="N13" s="10">
        <f t="shared" ref="N13:N20" si="12">$M$12/9</f>
        <v>40018.625766708246</v>
      </c>
      <c r="O13" s="14"/>
      <c r="P13" s="10">
        <f t="shared" si="7"/>
        <v>280130.38036695775</v>
      </c>
    </row>
    <row r="14" spans="1:16" ht="15" thickBot="1" x14ac:dyDescent="0.35">
      <c r="A14" s="1"/>
      <c r="B14" s="11"/>
      <c r="C14" s="2"/>
      <c r="D14" s="17">
        <f>SUM(D5:D13)</f>
        <v>378173.59985601716</v>
      </c>
      <c r="F14">
        <v>9</v>
      </c>
      <c r="G14" s="10">
        <f t="shared" si="8"/>
        <v>315735.85679822089</v>
      </c>
      <c r="H14" s="10">
        <f t="shared" si="9"/>
        <v>-50000</v>
      </c>
      <c r="I14" s="10">
        <f t="shared" si="10"/>
        <v>15944.151407893252</v>
      </c>
      <c r="J14" s="14"/>
      <c r="K14" s="10">
        <f t="shared" si="6"/>
        <v>281680.00820611417</v>
      </c>
      <c r="L14" s="10"/>
      <c r="M14" s="10">
        <f t="shared" si="11"/>
        <v>280130.38036695775</v>
      </c>
      <c r="N14" s="10">
        <f t="shared" si="12"/>
        <v>40018.625766708246</v>
      </c>
      <c r="O14" s="14"/>
      <c r="P14" s="10">
        <f t="shared" si="7"/>
        <v>240111.75460024949</v>
      </c>
    </row>
    <row r="15" spans="1:16" ht="15" thickTop="1" x14ac:dyDescent="0.3">
      <c r="A15" s="4"/>
      <c r="B15" s="3"/>
      <c r="C15" s="3"/>
      <c r="D15" s="26">
        <f>D14-rozliczanie!F11</f>
        <v>192011.1983874932</v>
      </c>
      <c r="F15">
        <v>10</v>
      </c>
      <c r="G15" s="10">
        <f t="shared" si="8"/>
        <v>281680.00820611417</v>
      </c>
      <c r="H15" s="10">
        <f t="shared" si="9"/>
        <v>-50000</v>
      </c>
      <c r="I15" s="10">
        <f t="shared" si="10"/>
        <v>13900.80049236685</v>
      </c>
      <c r="J15" s="14"/>
      <c r="K15" s="10">
        <f t="shared" si="6"/>
        <v>245580.80869848104</v>
      </c>
      <c r="L15" s="10"/>
      <c r="M15" s="10">
        <f t="shared" si="11"/>
        <v>240111.75460024949</v>
      </c>
      <c r="N15" s="10">
        <f t="shared" si="12"/>
        <v>40018.625766708246</v>
      </c>
      <c r="O15" s="14"/>
      <c r="P15" s="10">
        <f t="shared" si="7"/>
        <v>200093.12883354124</v>
      </c>
    </row>
    <row r="16" spans="1:16" x14ac:dyDescent="0.3">
      <c r="F16">
        <v>11</v>
      </c>
      <c r="G16" s="10">
        <f t="shared" si="8"/>
        <v>245580.80869848104</v>
      </c>
      <c r="H16" s="10">
        <f t="shared" si="9"/>
        <v>-55000</v>
      </c>
      <c r="I16" s="10">
        <f t="shared" si="10"/>
        <v>11434.848521908862</v>
      </c>
      <c r="K16" s="10">
        <f t="shared" si="6"/>
        <v>202015.6572203899</v>
      </c>
      <c r="M16" s="10">
        <f t="shared" si="11"/>
        <v>200093.12883354124</v>
      </c>
      <c r="N16" s="10">
        <f t="shared" si="12"/>
        <v>40018.625766708246</v>
      </c>
      <c r="P16" s="10">
        <f t="shared" si="7"/>
        <v>160074.50306683299</v>
      </c>
    </row>
    <row r="17" spans="6:16" x14ac:dyDescent="0.3">
      <c r="F17">
        <v>12</v>
      </c>
      <c r="G17" s="10">
        <f t="shared" si="8"/>
        <v>202015.6572203899</v>
      </c>
      <c r="H17" s="10">
        <f t="shared" si="9"/>
        <v>-55000</v>
      </c>
      <c r="I17" s="10">
        <f t="shared" si="10"/>
        <v>8820.9394332233933</v>
      </c>
      <c r="K17" s="10">
        <f t="shared" si="6"/>
        <v>155836.59665361329</v>
      </c>
      <c r="M17" s="10">
        <f t="shared" si="11"/>
        <v>160074.50306683299</v>
      </c>
      <c r="N17" s="10">
        <f t="shared" si="12"/>
        <v>40018.625766708246</v>
      </c>
      <c r="P17" s="10">
        <f t="shared" si="7"/>
        <v>120055.87730012473</v>
      </c>
    </row>
    <row r="18" spans="6:16" x14ac:dyDescent="0.3">
      <c r="F18">
        <v>13</v>
      </c>
      <c r="G18" s="10">
        <f t="shared" si="8"/>
        <v>155836.59665361329</v>
      </c>
      <c r="H18" s="10">
        <f t="shared" si="9"/>
        <v>-55000</v>
      </c>
      <c r="I18" s="10">
        <f t="shared" si="10"/>
        <v>6050.1957992167972</v>
      </c>
      <c r="K18" s="10">
        <f t="shared" si="6"/>
        <v>106886.79245283009</v>
      </c>
      <c r="M18" s="10">
        <f t="shared" si="11"/>
        <v>120055.87730012473</v>
      </c>
      <c r="N18" s="10">
        <f t="shared" si="12"/>
        <v>40018.625766708246</v>
      </c>
      <c r="P18" s="10">
        <f t="shared" si="7"/>
        <v>80037.251533416478</v>
      </c>
    </row>
    <row r="19" spans="6:16" x14ac:dyDescent="0.3">
      <c r="F19">
        <v>14</v>
      </c>
      <c r="G19" s="10">
        <f t="shared" si="8"/>
        <v>106886.79245283009</v>
      </c>
      <c r="H19" s="10">
        <f t="shared" si="9"/>
        <v>-55000</v>
      </c>
      <c r="I19" s="10">
        <f t="shared" si="10"/>
        <v>3113.2075471698054</v>
      </c>
      <c r="K19" s="10">
        <f t="shared" si="6"/>
        <v>54999.999999999898</v>
      </c>
      <c r="M19" s="10">
        <f t="shared" si="11"/>
        <v>80037.251533416478</v>
      </c>
      <c r="N19" s="10">
        <f t="shared" si="12"/>
        <v>40018.625766708246</v>
      </c>
      <c r="P19" s="10">
        <f t="shared" si="7"/>
        <v>40018.625766708232</v>
      </c>
    </row>
    <row r="20" spans="6:16" x14ac:dyDescent="0.3">
      <c r="F20">
        <v>15</v>
      </c>
      <c r="G20" s="10">
        <f t="shared" si="8"/>
        <v>54999.999999999898</v>
      </c>
      <c r="H20" s="10">
        <f t="shared" si="9"/>
        <v>-55000</v>
      </c>
      <c r="I20" s="10">
        <f t="shared" si="10"/>
        <v>-6.1118043959140775E-12</v>
      </c>
      <c r="K20" s="10">
        <f t="shared" si="6"/>
        <v>-1.0797521099448204E-10</v>
      </c>
      <c r="M20" s="10">
        <f t="shared" si="11"/>
        <v>40018.625766708232</v>
      </c>
      <c r="N20" s="10">
        <f t="shared" si="12"/>
        <v>40018.625766708246</v>
      </c>
      <c r="P20" s="10">
        <f t="shared" si="7"/>
        <v>-1.4551915228366852E-11</v>
      </c>
    </row>
  </sheetData>
  <mergeCells count="2">
    <mergeCell ref="F4:K4"/>
    <mergeCell ref="M4:P4"/>
  </mergeCells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J9"/>
  <sheetViews>
    <sheetView tabSelected="1" workbookViewId="0">
      <selection activeCell="G3" sqref="G3:J9"/>
    </sheetView>
  </sheetViews>
  <sheetFormatPr defaultRowHeight="14.4" x14ac:dyDescent="0.3"/>
  <cols>
    <col min="2" max="2" width="5.109375" bestFit="1" customWidth="1"/>
    <col min="4" max="4" width="10" style="21" customWidth="1"/>
    <col min="9" max="9" width="11.109375" customWidth="1"/>
  </cols>
  <sheetData>
    <row r="2" spans="2:10" x14ac:dyDescent="0.3">
      <c r="B2" s="28" t="s">
        <v>20</v>
      </c>
      <c r="G2" s="25" t="s">
        <v>19</v>
      </c>
    </row>
    <row r="3" spans="2:10" x14ac:dyDescent="0.3">
      <c r="B3" s="1"/>
      <c r="C3" s="1"/>
      <c r="D3" s="22">
        <v>0.06</v>
      </c>
      <c r="E3" s="1"/>
      <c r="G3" s="1"/>
      <c r="H3" s="1"/>
      <c r="I3" s="22">
        <v>0.06</v>
      </c>
      <c r="J3" s="1"/>
    </row>
    <row r="4" spans="2:10" ht="36" x14ac:dyDescent="0.3">
      <c r="B4" s="6" t="s">
        <v>5</v>
      </c>
      <c r="C4" s="5" t="s">
        <v>3</v>
      </c>
      <c r="D4" s="5" t="s">
        <v>16</v>
      </c>
      <c r="E4" s="5" t="s">
        <v>2</v>
      </c>
      <c r="G4" s="6" t="s">
        <v>5</v>
      </c>
      <c r="H4" s="5" t="s">
        <v>3</v>
      </c>
      <c r="I4" s="5" t="s">
        <v>16</v>
      </c>
      <c r="J4" s="5" t="s">
        <v>2</v>
      </c>
    </row>
    <row r="5" spans="2:10" x14ac:dyDescent="0.3">
      <c r="B5" s="1">
        <v>1</v>
      </c>
      <c r="C5" s="16">
        <v>15000</v>
      </c>
      <c r="D5" s="23">
        <f>1</f>
        <v>1</v>
      </c>
      <c r="E5" s="16">
        <f>C5*D5</f>
        <v>15000</v>
      </c>
      <c r="G5" s="1">
        <v>1</v>
      </c>
      <c r="H5" s="16">
        <v>15000</v>
      </c>
      <c r="I5" s="23">
        <f>1</f>
        <v>1</v>
      </c>
      <c r="J5" s="16">
        <f>H5*I5</f>
        <v>15000</v>
      </c>
    </row>
    <row r="6" spans="2:10" x14ac:dyDescent="0.3">
      <c r="B6" s="1">
        <v>2</v>
      </c>
      <c r="C6" s="16">
        <v>15000</v>
      </c>
      <c r="D6" s="23">
        <f>1/(1+$D$3)^B5</f>
        <v>0.94339622641509424</v>
      </c>
      <c r="E6" s="16">
        <f t="shared" ref="E6:E7" si="0">C6*D6</f>
        <v>14150.943396226414</v>
      </c>
      <c r="G6" s="1">
        <v>2</v>
      </c>
      <c r="H6" s="16">
        <v>15000</v>
      </c>
      <c r="I6" s="23">
        <f>1/(1+$I$3)^G5</f>
        <v>0.94339622641509424</v>
      </c>
      <c r="J6" s="16">
        <f t="shared" ref="J6:J7" si="1">H6*I6</f>
        <v>14150.943396226414</v>
      </c>
    </row>
    <row r="7" spans="2:10" x14ac:dyDescent="0.3">
      <c r="B7" s="1">
        <v>3</v>
      </c>
      <c r="C7" s="16">
        <v>15000</v>
      </c>
      <c r="D7" s="23">
        <f>1/(1+$D$3)^B6</f>
        <v>0.88999644001423983</v>
      </c>
      <c r="E7" s="16">
        <f t="shared" si="0"/>
        <v>13349.946600213598</v>
      </c>
      <c r="G7" s="1">
        <v>3</v>
      </c>
      <c r="H7" s="16">
        <v>15000</v>
      </c>
      <c r="I7" s="23">
        <f>1/(1+$I$3)^G6</f>
        <v>0.88999644001423983</v>
      </c>
      <c r="J7" s="16">
        <f t="shared" si="1"/>
        <v>13349.946600213598</v>
      </c>
    </row>
    <row r="8" spans="2:10" x14ac:dyDescent="0.3">
      <c r="B8" s="4" t="s">
        <v>4</v>
      </c>
      <c r="C8" s="18">
        <f>SUM(C5:C7)</f>
        <v>45000</v>
      </c>
      <c r="D8" s="24"/>
      <c r="E8" s="18">
        <f>SUM(E5:E7)</f>
        <v>42500.889996440012</v>
      </c>
      <c r="G8" s="1">
        <v>4</v>
      </c>
      <c r="H8" s="16">
        <v>15000</v>
      </c>
      <c r="I8" s="23">
        <f>1/(1+$I$3)^G7</f>
        <v>0.8396192830323016</v>
      </c>
      <c r="J8" s="16">
        <f t="shared" ref="J8" si="2">H8*I8</f>
        <v>12594.289245484524</v>
      </c>
    </row>
    <row r="9" spans="2:10" x14ac:dyDescent="0.3">
      <c r="G9" s="4" t="s">
        <v>4</v>
      </c>
      <c r="H9" s="18">
        <f>SUM(H5:H8)</f>
        <v>60000</v>
      </c>
      <c r="I9" s="24"/>
      <c r="J9" s="18">
        <f>SUM(J5:J8)</f>
        <v>55095.179241924532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wycena początkowa</vt:lpstr>
      <vt:lpstr>rozliczanie</vt:lpstr>
      <vt:lpstr>aktualizacja</vt:lpstr>
      <vt:lpstr>zmiana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Aleksandra Rytko</dc:creator>
  <cp:lastModifiedBy>Aleksandra Rytko</cp:lastModifiedBy>
  <dcterms:created xsi:type="dcterms:W3CDTF">2017-08-12T14:37:17Z</dcterms:created>
  <dcterms:modified xsi:type="dcterms:W3CDTF">2018-06-21T20:30:48Z</dcterms:modified>
</cp:coreProperties>
</file>